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-135" yWindow="75" windowWidth="15465" windowHeight="11370" tabRatio="858" firstSheet="1" activeTab="1"/>
  </bookViews>
  <sheets>
    <sheet name="Стандартизированные ставки" sheetId="2" state="hidden" r:id="rId1"/>
    <sheet name="Льготная ставка за ТП" sheetId="3" r:id="rId2"/>
  </sheets>
  <externalReferences>
    <externalReference r:id="rId3"/>
    <externalReference r:id="rId4"/>
  </externalReferences>
  <definedNames>
    <definedName name="_xlnm._FilterDatabase" localSheetId="0" hidden="1">'Стандартизированные ставки'!$A$5:$F$134</definedName>
    <definedName name="_xlnm.Print_Area" localSheetId="0">'Стандартизированные ставки'!$A$1:$F$134</definedName>
  </definedNames>
  <calcPr calcId="162913"/>
</workbook>
</file>

<file path=xl/calcChain.xml><?xml version="1.0" encoding="utf-8"?>
<calcChain xmlns="http://schemas.openxmlformats.org/spreadsheetml/2006/main">
  <c r="C5" i="3" l="1"/>
  <c r="D10" i="3" l="1"/>
  <c r="A10" i="3"/>
  <c r="D5" i="3" l="1"/>
  <c r="D6" i="3" s="1"/>
  <c r="C6" i="3"/>
  <c r="F92" i="2"/>
  <c r="F91" i="2" l="1"/>
  <c r="F90" i="2" l="1"/>
  <c r="F89" i="2"/>
  <c r="F93" i="2" l="1"/>
  <c r="F134" i="2" l="1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88" i="2" l="1"/>
  <c r="F83" i="2" l="1"/>
  <c r="F79" i="2" l="1"/>
  <c r="F78" i="2" l="1"/>
  <c r="F77" i="2" l="1"/>
  <c r="F74" i="2" l="1"/>
  <c r="F73" i="2" l="1"/>
  <c r="F87" i="2" l="1"/>
  <c r="F86" i="2" l="1"/>
  <c r="F85" i="2" l="1"/>
  <c r="F84" i="2" l="1"/>
  <c r="F82" i="2" l="1"/>
  <c r="F81" i="2" l="1"/>
  <c r="F80" i="2" l="1"/>
  <c r="F76" i="2" l="1"/>
  <c r="F75" i="2" l="1"/>
  <c r="F72" i="2" l="1"/>
  <c r="F71" i="2" l="1"/>
  <c r="F70" i="2" l="1"/>
  <c r="F69" i="2" l="1"/>
  <c r="F68" i="2" l="1"/>
  <c r="F67" i="2" l="1"/>
  <c r="F66" i="2" l="1"/>
  <c r="F65" i="2" l="1"/>
  <c r="F64" i="2" l="1"/>
  <c r="F63" i="2" l="1"/>
  <c r="F62" i="2" l="1"/>
  <c r="F61" i="2" l="1"/>
  <c r="F60" i="2" l="1"/>
  <c r="F59" i="2" l="1"/>
  <c r="F58" i="2" l="1"/>
  <c r="F57" i="2" l="1"/>
  <c r="F56" i="2" l="1"/>
  <c r="F55" i="2" l="1"/>
  <c r="F54" i="2" l="1"/>
  <c r="F53" i="2" l="1"/>
  <c r="F52" i="2" l="1"/>
  <c r="F51" i="2" l="1"/>
  <c r="F50" i="2" l="1"/>
  <c r="F49" i="2" l="1"/>
  <c r="F48" i="2" l="1"/>
  <c r="F47" i="2"/>
  <c r="F46" i="2"/>
  <c r="F44" i="2"/>
  <c r="F43" i="2"/>
  <c r="F40" i="2"/>
  <c r="F39" i="2"/>
  <c r="F45" i="2" l="1"/>
  <c r="F42" i="2"/>
  <c r="F41" i="2"/>
  <c r="F38" i="2"/>
  <c r="F37" i="2"/>
  <c r="F36" i="2"/>
  <c r="F35" i="2"/>
  <c r="F34" i="2" l="1"/>
  <c r="F33" i="2" l="1"/>
  <c r="F32" i="2" l="1"/>
  <c r="F31" i="2" l="1"/>
  <c r="F30" i="2" l="1"/>
  <c r="F29" i="2" l="1"/>
  <c r="F28" i="2" l="1"/>
  <c r="F27" i="2" l="1"/>
  <c r="F26" i="2" l="1"/>
  <c r="F25" i="2" l="1"/>
  <c r="F24" i="2" l="1"/>
  <c r="F23" i="2" l="1"/>
  <c r="F22" i="2" l="1"/>
  <c r="F21" i="2" l="1"/>
  <c r="F20" i="2" l="1"/>
  <c r="F19" i="2" l="1"/>
  <c r="F18" i="2" l="1"/>
  <c r="F17" i="2" l="1"/>
  <c r="F16" i="2" l="1"/>
  <c r="F15" i="2" l="1"/>
  <c r="F14" i="2" l="1"/>
  <c r="F13" i="2" l="1"/>
  <c r="F12" i="2" l="1"/>
  <c r="F11" i="2" l="1"/>
  <c r="F10" i="2" l="1"/>
  <c r="F9" i="2" l="1"/>
  <c r="F8" i="2" l="1"/>
  <c r="F7" i="2" l="1"/>
  <c r="F6" i="2" l="1"/>
</calcChain>
</file>

<file path=xl/sharedStrings.xml><?xml version="1.0" encoding="utf-8"?>
<sst xmlns="http://schemas.openxmlformats.org/spreadsheetml/2006/main" count="314" uniqueCount="167">
  <si>
    <t>Единица измерения</t>
  </si>
  <si>
    <t>рублей/км</t>
  </si>
  <si>
    <t>рублей/шт</t>
  </si>
  <si>
    <t>реклоузеры номинальным током от 500 до 1000 А включительно</t>
  </si>
  <si>
    <t>средства коммерческого учета электрической энергии (мощности) однофазные прямого включения</t>
  </si>
  <si>
    <t>рублей за точку учета</t>
  </si>
  <si>
    <t>средства коммерческого учета электрической энергии (мощности) однофазные полукосвенного включения</t>
  </si>
  <si>
    <t>средства коммерческого учета электрической энергии (мощности) однофазные косвенного включения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</si>
  <si>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</si>
  <si>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</si>
  <si>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</si>
  <si>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35 кВ</t>
  </si>
  <si>
    <t>110 кВ</t>
  </si>
  <si>
    <t>до 0,4 кВ</t>
  </si>
  <si>
    <t>от 6 до 20 кВ</t>
  </si>
  <si>
    <t>6(10)/0,4 кВ</t>
  </si>
  <si>
    <t>0,4 кВ и ниже с ТТ</t>
  </si>
  <si>
    <t>0,4 кВ и ниже без ТТ</t>
  </si>
  <si>
    <t>1-20 кВ</t>
  </si>
  <si>
    <t>Уровень напряжения</t>
  </si>
  <si>
    <t>№
п/п</t>
  </si>
  <si>
    <t>5</t>
  </si>
  <si>
    <t>6</t>
  </si>
  <si>
    <t>7</t>
  </si>
  <si>
    <t>8</t>
  </si>
  <si>
    <t>9</t>
  </si>
  <si>
    <t>10</t>
  </si>
  <si>
    <t>11</t>
  </si>
  <si>
    <t>4х25</t>
  </si>
  <si>
    <t>4х35</t>
  </si>
  <si>
    <t>4х50</t>
  </si>
  <si>
    <t>сш.п.50</t>
  </si>
  <si>
    <t>СИП-4х25</t>
  </si>
  <si>
    <t>СИП-4х35</t>
  </si>
  <si>
    <t>СИП-4х50</t>
  </si>
  <si>
    <t xml:space="preserve">СИП-4х16 </t>
  </si>
  <si>
    <t xml:space="preserve"> СИП-4х70</t>
  </si>
  <si>
    <t>СИП-4х95</t>
  </si>
  <si>
    <t>СИП-3 1х70</t>
  </si>
  <si>
    <t xml:space="preserve"> СИП-3 1х95</t>
  </si>
  <si>
    <t>СИП-4х120</t>
  </si>
  <si>
    <t>СИП-3 1х120</t>
  </si>
  <si>
    <t>СИП-3 1х150</t>
  </si>
  <si>
    <t>СИП-3 1х185</t>
  </si>
  <si>
    <t>СИП-3 1х35</t>
  </si>
  <si>
    <t>СИП-3 1х50</t>
  </si>
  <si>
    <t xml:space="preserve"> СИП-4х95</t>
  </si>
  <si>
    <t>СИП-3 1х95</t>
  </si>
  <si>
    <t>4х70</t>
  </si>
  <si>
    <t>4х95</t>
  </si>
  <si>
    <t>сш.п.70</t>
  </si>
  <si>
    <t>сш.п.95</t>
  </si>
  <si>
    <t>25 кВА</t>
  </si>
  <si>
    <t>63 кВА</t>
  </si>
  <si>
    <t>100 кВА</t>
  </si>
  <si>
    <t>160 кВА</t>
  </si>
  <si>
    <t>250 кВА</t>
  </si>
  <si>
    <t xml:space="preserve">400 кВА </t>
  </si>
  <si>
    <t>630 кВА</t>
  </si>
  <si>
    <t>1000 кВА</t>
  </si>
  <si>
    <t>4х120</t>
  </si>
  <si>
    <t>4х150</t>
  </si>
  <si>
    <t>4х185</t>
  </si>
  <si>
    <t>сш.п.120</t>
  </si>
  <si>
    <t>сш.п.150</t>
  </si>
  <si>
    <t>сш.п.185</t>
  </si>
  <si>
    <t>4х240</t>
  </si>
  <si>
    <t>сш.п.240</t>
  </si>
  <si>
    <t>сш.п.300</t>
  </si>
  <si>
    <t>сш.п.400</t>
  </si>
  <si>
    <t>сш.п.500</t>
  </si>
  <si>
    <t xml:space="preserve"> СИП-4х16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</si>
  <si>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 15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</si>
  <si>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</si>
  <si>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кабельные линии в траншеях многожильные с резиновой или пластмассовой изоляцией сечением провода до 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</si>
  <si>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</si>
  <si>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100 до 200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</si>
  <si>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200 до 250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</si>
  <si>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300 до 400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</si>
  <si>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</si>
  <si>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250 до 300 квадратных мм включительно c одним кабелем в траншее</t>
  </si>
  <si>
    <t>АС-50</t>
  </si>
  <si>
    <t>АС-70</t>
  </si>
  <si>
    <t>АС-95</t>
  </si>
  <si>
    <t>АС-120</t>
  </si>
  <si>
    <t>АС-150</t>
  </si>
  <si>
    <t>АС-185</t>
  </si>
  <si>
    <t>АС-240</t>
  </si>
  <si>
    <t>12</t>
  </si>
  <si>
    <t>13</t>
  </si>
  <si>
    <t>14</t>
  </si>
  <si>
    <t>15</t>
  </si>
  <si>
    <t>16</t>
  </si>
  <si>
    <t xml:space="preserve">воздушные линии на металлических опорах, за исключением многогранных,неизолированным сталеалюминиевым проводом сечением от 200 до 500 квадратных мм включительно одноцепные </t>
  </si>
  <si>
    <t>АС-300</t>
  </si>
  <si>
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</si>
  <si>
    <t>сш.п.800</t>
  </si>
  <si>
    <t>кабельные линии, прокладываемые методом горизонтального наклонного бурения, многожильные с бумажной изоляцией сечением провода от 100 до 200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</si>
  <si>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до 50 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</si>
  <si>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50 до 100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</si>
  <si>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200 до 250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</si>
  <si>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250 до 300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</si>
  <si>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300 до 400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</si>
  <si>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400 до 500 квадратных мм включительно c одной трубой в скважине</t>
  </si>
  <si>
    <t>переключательные пункты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</si>
  <si>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</si>
  <si>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6(10) кВ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</si>
  <si>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</si>
  <si>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>17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</si>
  <si>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50 до 100 квадратных мм включительно одноцепные 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</si>
  <si>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 </t>
  </si>
  <si>
    <t>воздушные линии на деревянных опорах изолированным сталеалюминиевым проводом сечением до 50 квадратных мм включительно одноцепные</t>
  </si>
  <si>
    <t>воздушные линии на деревянных опорах изолированным сталеалюминиевым проводом сечением от 50 до 100 квадратных мм включительно одноцепные</t>
  </si>
  <si>
    <t>воздушные линии на деревянных опорах изолированным сталеалюминиевым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</si>
  <si>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неизолированным 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</si>
  <si>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 изолированным алюминиевым проводом сечением от 200 до 500 квадратных мм включительно одноцепные</t>
  </si>
  <si>
    <t>воздушные линии на железобетонных опорах изолированным 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</si>
  <si>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</si>
  <si>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воздушные линии на железобетонных опорах изолированным сталеалюминиевым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</si>
  <si>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одноценпные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</si>
  <si>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одноцепные</t>
  </si>
  <si>
    <t>распределительные однотрансформаторные подстанции мощностью от 25 до 100 кВА включительно закрытого типа</t>
  </si>
  <si>
    <t>распределительные однотрансформаторные подстанции мощностью от 100 до 250 кВА включительно закрытого типа</t>
  </si>
  <si>
    <t>распределительные однотрансформаторные подстанции мощностью от 400 до 630 кВА включительно закрытого типа</t>
  </si>
  <si>
    <t>распределительные однотрансформаторные подстанции мощностью от 630 до 1000 кВА включительно закрытого типа</t>
  </si>
  <si>
    <t>распределительные двухтрансформаторные подстанции мощностью от 100 до 250 кВА включительно закрытого типа</t>
  </si>
  <si>
    <t>распределительные двухтрансформаторные подстанции мощностью от 400 до 630 кВА включительно закрытого типа</t>
  </si>
  <si>
    <t>воздушные линии на железобетонных опорах неизолированным сталеалюминиевым проводом сечением от 100 до 200 квадратных мм включительно двухцепные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</si>
  <si>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</si>
  <si>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</si>
  <si>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</si>
  <si>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</si>
  <si>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</si>
  <si>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</si>
  <si>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</si>
  <si>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</si>
  <si>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</si>
  <si>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</si>
  <si>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</si>
  <si>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</si>
  <si>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</si>
  <si>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</si>
  <si>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</si>
  <si>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</si>
  <si>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</si>
  <si>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</si>
  <si>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</si>
  <si>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</si>
  <si>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</si>
  <si>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</si>
  <si>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</si>
  <si>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2х250 кВА</t>
  </si>
  <si>
    <t xml:space="preserve">2х400 кВА </t>
  </si>
  <si>
    <t>2х630 кВА</t>
  </si>
  <si>
    <t>Предложения  по утверждению дополнительных 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 и на обеспечение средствами коммерческого учета электрической энергии (мощности)  на территории Красноярского края на 2023 год</t>
  </si>
  <si>
    <t>Наименование стандартизированной тарифной ставки</t>
  </si>
  <si>
    <t>Вид и сечение провода/мощность трансформатора</t>
  </si>
  <si>
    <t>Размер стандиртизированной тарифной ставки, без НДС</t>
  </si>
  <si>
    <t>рублей/кВт</t>
  </si>
  <si>
    <t>без НДС</t>
  </si>
  <si>
    <t>с НДС</t>
  </si>
  <si>
    <t>Наименование ставки</t>
  </si>
  <si>
    <t>№ п/п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</si>
  <si>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</si>
  <si>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объектов микрогенерации  заявителей - физических лиц, в том числе за одновременное технологическое присоединение 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 энергопринимающих устройств заявителей –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устройств).</t>
  </si>
  <si>
    <t>Предложения  по утверждению льготных ставок за 1 кВт запрашиваемой максимальной мощности в отношении всей совокупности мероприятий по технологическому присоединению   на территории Красноярского края на 2026 год</t>
  </si>
  <si>
    <t>Ставка платы за 1 кВт присоединяемой мощности на 2026 год,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</si>
</sst>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17" fillId="0" borderId="0"/>
    <xf numFmtId="0" fontId="18" fillId="0" borderId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8" fillId="0" borderId="0"/>
    <xf numFmtId="0" fontId="18" fillId="0" borderId="0"/>
    <xf numFmtId="0" fontId="13" fillId="0" borderId="0"/>
    <xf numFmtId="0" fontId="17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16" fillId="2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vertical="center"/>
    </xf>
    <xf numFmtId="4" fontId="20" fillId="0" borderId="1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wrapText="1"/>
    </xf>
    <xf numFmtId="0" fontId="21" fillId="0" borderId="0" xfId="0" applyFont="1" applyFill="1" applyAlignment="1">
      <alignment vertical="top" wrapText="1"/>
    </xf>
    <xf numFmtId="4" fontId="2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6" fillId="0" borderId="0" xfId="10" applyFont="1"/>
    <xf numFmtId="4" fontId="16" fillId="0" borderId="0" xfId="10" applyNumberFormat="1" applyFont="1" applyAlignment="1">
      <alignment horizontal="right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39">
    <cellStyle name="Обычный" xfId="0" builtinId="0"/>
    <cellStyle name="Обычный 10" xfId="21"/>
    <cellStyle name="Обычный 10 2 2 2" xfId="8"/>
    <cellStyle name="Обычный 11" xfId="23"/>
    <cellStyle name="Обычный 12" xfId="25"/>
    <cellStyle name="Обычный 13" xfId="27"/>
    <cellStyle name="Обычный 14" xfId="29"/>
    <cellStyle name="Обычный 15" xfId="31"/>
    <cellStyle name="Обычный 16" xfId="33"/>
    <cellStyle name="Обычный 17" xfId="35"/>
    <cellStyle name="Обычный 18" xfId="37"/>
    <cellStyle name="Обычный 2" xfId="2"/>
    <cellStyle name="Обычный 2 2" xfId="7"/>
    <cellStyle name="Обычный 278" xfId="38"/>
    <cellStyle name="Обычный 3" xfId="3"/>
    <cellStyle name="Обычный 3 2" xfId="11"/>
    <cellStyle name="Обычный 4" xfId="5"/>
    <cellStyle name="Обычный 4 2" xfId="13"/>
    <cellStyle name="Обычный 5" xfId="9"/>
    <cellStyle name="Обычный 6" xfId="10"/>
    <cellStyle name="Обычный 7" xfId="15"/>
    <cellStyle name="Обычный 8" xfId="17"/>
    <cellStyle name="Обычный 8 2" xfId="1"/>
    <cellStyle name="Обычный 9" xfId="20"/>
    <cellStyle name="Финансовый 10" xfId="28"/>
    <cellStyle name="Финансовый 11" xfId="30"/>
    <cellStyle name="Финансовый 12" xfId="32"/>
    <cellStyle name="Финансовый 13" xfId="34"/>
    <cellStyle name="Финансовый 14" xfId="36"/>
    <cellStyle name="Финансовый 2" xfId="4"/>
    <cellStyle name="Финансовый 2 2" xfId="12"/>
    <cellStyle name="Финансовый 3" xfId="6"/>
    <cellStyle name="Финансовый 3 2" xfId="14"/>
    <cellStyle name="Финансовый 4" xfId="16"/>
    <cellStyle name="Финансовый 5" xfId="18"/>
    <cellStyle name="Финансовый 6" xfId="19"/>
    <cellStyle name="Финансовый 7" xfId="22"/>
    <cellStyle name="Финансовый 8" xfId="24"/>
    <cellStyle name="Финансовый 9" xf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2.%20&#1054;&#1073;&#1097;&#1080;&#1077;/2026%20&#1075;&#1086;&#1076;/&#1057;&#1090;&#1072;&#1074;&#1082;&#1072;%20&#1079;&#1072;%201%20&#1082;&#1042;&#1090;/2.%20&#1056;&#1072;&#1089;&#1095;&#1077;&#1090;%20&#1092;&#1072;&#1082;&#1090;&#1080;&#1095;&#1077;&#1089;&#1082;&#1086;&#1081;%20&#1089;&#1090;&#1072;&#1074;&#1082;&#1080;%20&#1079;&#1072;%20&#1051;&#1058;&#1055;%202022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2.%20&#1054;&#1073;&#1097;&#1080;&#1077;/2023%20&#1075;&#1086;&#1076;/&#1047;&#1072;&#1103;&#1074;&#1083;&#1077;&#1085;&#1080;&#1077;/2.%20&#1048;&#1085;&#1092;&#1086;&#1088;&#1084;&#1072;&#1094;&#1080;&#1103;%20&#1076;&#1083;&#1103;%20&#1088;&#1072;&#1089;&#1095;&#1077;&#1090;&#1072;/2_&#1055;&#1088;&#1080;&#1083;&#1086;&#1078;&#1077;&#1085;&#1080;&#1077;%202%20&#1082;%20&#1052;&#10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</sheetNames>
    <sheetDataSet>
      <sheetData sheetId="0">
        <row r="9">
          <cell r="H9">
            <v>22951.408093823287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 2 2014"/>
      <sheetName val="Прил 2 2015"/>
      <sheetName val="Прил 2 2016"/>
      <sheetName val="Прил 2 2017"/>
      <sheetName val="Прил 2 2018"/>
      <sheetName val="Прил 2 2019"/>
      <sheetName val="Прил 2 2020"/>
      <sheetName val="Прил 2 2021"/>
      <sheetName val="Прил. 3 2019-2021 а "/>
      <sheetName val="Прил. 3 2019-2021 в "/>
      <sheetName val="Приложение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B18" t="str">
            <v>Заместитель директора по экономике и финансам</v>
          </cell>
          <cell r="G18" t="str">
            <v>Т.В. Шевченко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4"/>
  <sheetViews>
    <sheetView view="pageBreakPreview" zoomScale="70" zoomScaleNormal="70" zoomScaleSheetLayoutView="70" workbookViewId="0">
      <pane ySplit="4" topLeftCell="A5" activePane="bottomLeft" state="frozenSplit"/>
      <selection pane="bottomLeft" activeCell="C4" sqref="C4"/>
    </sheetView>
  </sheetViews>
  <sheetFormatPr defaultRowHeight="15" x14ac:dyDescent="0.25"/>
  <cols>
    <col min="1" max="1" width="8.28515625" style="1" customWidth="1"/>
    <col min="2" max="2" width="24.140625" style="1" customWidth="1"/>
    <col min="3" max="3" width="73.42578125" style="1" customWidth="1"/>
    <col min="4" max="4" width="20.140625" style="1" customWidth="1"/>
    <col min="5" max="5" width="14.28515625" style="1" customWidth="1"/>
    <col min="6" max="6" width="32.28515625" style="1" customWidth="1"/>
    <col min="7" max="7" width="9.140625" style="1"/>
    <col min="8" max="8" width="13.42578125" style="1" customWidth="1"/>
    <col min="9" max="16384" width="9.140625" style="1"/>
  </cols>
  <sheetData>
    <row r="1" spans="1:6" ht="92.25" customHeight="1" x14ac:dyDescent="0.25">
      <c r="A1" s="29" t="s">
        <v>154</v>
      </c>
      <c r="B1" s="29"/>
      <c r="C1" s="29"/>
      <c r="D1" s="29"/>
      <c r="E1" s="29"/>
      <c r="F1" s="29"/>
    </row>
    <row r="2" spans="1:6" ht="15" customHeight="1" x14ac:dyDescent="0.25">
      <c r="A2" s="10"/>
      <c r="B2" s="11"/>
      <c r="C2" s="11"/>
      <c r="D2" s="11"/>
      <c r="E2" s="11"/>
      <c r="F2" s="11"/>
    </row>
    <row r="3" spans="1:6" ht="15" customHeight="1" x14ac:dyDescent="0.25">
      <c r="A3" s="10"/>
      <c r="B3" s="11"/>
      <c r="C3" s="11"/>
      <c r="D3" s="11"/>
      <c r="E3" s="11"/>
      <c r="F3" s="11"/>
    </row>
    <row r="4" spans="1:6" ht="55.5" customHeight="1" x14ac:dyDescent="0.25">
      <c r="A4" s="12" t="s">
        <v>20</v>
      </c>
      <c r="B4" s="12" t="s">
        <v>19</v>
      </c>
      <c r="C4" s="8" t="s">
        <v>155</v>
      </c>
      <c r="D4" s="8" t="s">
        <v>156</v>
      </c>
      <c r="E4" s="12" t="s">
        <v>0</v>
      </c>
      <c r="F4" s="13" t="s">
        <v>157</v>
      </c>
    </row>
    <row r="5" spans="1:6" ht="19.5" customHeight="1" x14ac:dyDescent="0.25">
      <c r="A5" s="6"/>
      <c r="B5" s="6"/>
      <c r="C5" s="6"/>
      <c r="D5" s="6"/>
      <c r="E5" s="6"/>
      <c r="F5" s="2"/>
    </row>
    <row r="6" spans="1:6" ht="15.75" x14ac:dyDescent="0.25">
      <c r="A6" s="9">
        <v>1</v>
      </c>
      <c r="B6" s="28" t="s">
        <v>13</v>
      </c>
      <c r="C6" s="30" t="s">
        <v>111</v>
      </c>
      <c r="D6" s="7" t="s">
        <v>35</v>
      </c>
      <c r="E6" s="31" t="s">
        <v>1</v>
      </c>
      <c r="F6" s="14">
        <f>2589.33834*1000</f>
        <v>2589338.34</v>
      </c>
    </row>
    <row r="7" spans="1:6" ht="15.75" x14ac:dyDescent="0.25">
      <c r="A7" s="9">
        <v>2</v>
      </c>
      <c r="B7" s="28"/>
      <c r="C7" s="30"/>
      <c r="D7" s="7" t="s">
        <v>32</v>
      </c>
      <c r="E7" s="31"/>
      <c r="F7" s="14">
        <f>2615.91138*1000</f>
        <v>2615911.38</v>
      </c>
    </row>
    <row r="8" spans="1:6" ht="15.75" x14ac:dyDescent="0.25">
      <c r="A8" s="9">
        <v>3</v>
      </c>
      <c r="B8" s="28"/>
      <c r="C8" s="30"/>
      <c r="D8" s="7" t="s">
        <v>33</v>
      </c>
      <c r="E8" s="31"/>
      <c r="F8" s="14">
        <f>2650.30002*1000</f>
        <v>2650300.02</v>
      </c>
    </row>
    <row r="9" spans="1:6" ht="15.75" x14ac:dyDescent="0.25">
      <c r="A9" s="9">
        <v>4</v>
      </c>
      <c r="B9" s="28"/>
      <c r="C9" s="30"/>
      <c r="D9" s="7" t="s">
        <v>34</v>
      </c>
      <c r="E9" s="31"/>
      <c r="F9" s="14">
        <f>2703.4461*1000</f>
        <v>2703446.1</v>
      </c>
    </row>
    <row r="10" spans="1:6" ht="15.75" x14ac:dyDescent="0.25">
      <c r="A10" s="17" t="s">
        <v>21</v>
      </c>
      <c r="B10" s="28" t="s">
        <v>14</v>
      </c>
      <c r="C10" s="30" t="s">
        <v>111</v>
      </c>
      <c r="D10" s="7" t="s">
        <v>44</v>
      </c>
      <c r="E10" s="31" t="s">
        <v>1</v>
      </c>
      <c r="F10" s="14">
        <f>4891.82913*1000</f>
        <v>4891829.13</v>
      </c>
    </row>
    <row r="11" spans="1:6" ht="15.75" x14ac:dyDescent="0.25">
      <c r="A11" s="17" t="s">
        <v>22</v>
      </c>
      <c r="B11" s="28"/>
      <c r="C11" s="30"/>
      <c r="D11" s="7" t="s">
        <v>45</v>
      </c>
      <c r="E11" s="31"/>
      <c r="F11" s="14">
        <f>4934.03337*1000</f>
        <v>4934033.37</v>
      </c>
    </row>
    <row r="12" spans="1:6" ht="15.75" x14ac:dyDescent="0.25">
      <c r="A12" s="17" t="s">
        <v>23</v>
      </c>
      <c r="B12" s="28" t="s">
        <v>13</v>
      </c>
      <c r="C12" s="30" t="s">
        <v>112</v>
      </c>
      <c r="D12" s="7" t="s">
        <v>36</v>
      </c>
      <c r="E12" s="31" t="s">
        <v>1</v>
      </c>
      <c r="F12" s="14">
        <f>2770.66026*1000</f>
        <v>2770660.2600000002</v>
      </c>
    </row>
    <row r="13" spans="1:6" ht="15.75" x14ac:dyDescent="0.25">
      <c r="A13" s="17" t="s">
        <v>24</v>
      </c>
      <c r="B13" s="28"/>
      <c r="C13" s="30"/>
      <c r="D13" s="7" t="s">
        <v>37</v>
      </c>
      <c r="E13" s="31"/>
      <c r="F13" s="14">
        <f>2845.69002*1000</f>
        <v>2845690.02</v>
      </c>
    </row>
    <row r="14" spans="1:6" ht="15.75" x14ac:dyDescent="0.25">
      <c r="A14" s="17" t="s">
        <v>25</v>
      </c>
      <c r="B14" s="28" t="s">
        <v>14</v>
      </c>
      <c r="C14" s="30" t="s">
        <v>112</v>
      </c>
      <c r="D14" s="7" t="s">
        <v>38</v>
      </c>
      <c r="E14" s="31" t="s">
        <v>1</v>
      </c>
      <c r="F14" s="14">
        <f>4994.99505*1000</f>
        <v>4994995.0500000007</v>
      </c>
    </row>
    <row r="15" spans="1:6" ht="15.75" x14ac:dyDescent="0.25">
      <c r="A15" s="17" t="s">
        <v>26</v>
      </c>
      <c r="B15" s="28"/>
      <c r="C15" s="30"/>
      <c r="D15" s="7" t="s">
        <v>39</v>
      </c>
      <c r="E15" s="31"/>
      <c r="F15" s="14">
        <f>5079.40353*1000</f>
        <v>5079403.5299999993</v>
      </c>
    </row>
    <row r="16" spans="1:6" ht="15.75" x14ac:dyDescent="0.25">
      <c r="A16" s="17" t="s">
        <v>27</v>
      </c>
      <c r="B16" s="28" t="s">
        <v>11</v>
      </c>
      <c r="C16" s="30" t="s">
        <v>109</v>
      </c>
      <c r="D16" s="7" t="s">
        <v>81</v>
      </c>
      <c r="E16" s="31" t="s">
        <v>1</v>
      </c>
      <c r="F16" s="14">
        <f>12662.72991*1000</f>
        <v>12662729.91</v>
      </c>
    </row>
    <row r="17" spans="1:6" ht="15.75" x14ac:dyDescent="0.25">
      <c r="A17" s="17" t="s">
        <v>88</v>
      </c>
      <c r="B17" s="28"/>
      <c r="C17" s="30"/>
      <c r="D17" s="7" t="s">
        <v>82</v>
      </c>
      <c r="E17" s="31"/>
      <c r="F17" s="14">
        <f>12662.72991*1000</f>
        <v>12662729.91</v>
      </c>
    </row>
    <row r="18" spans="1:6" ht="15.75" x14ac:dyDescent="0.25">
      <c r="A18" s="17" t="s">
        <v>89</v>
      </c>
      <c r="B18" s="28" t="s">
        <v>12</v>
      </c>
      <c r="C18" s="30"/>
      <c r="D18" s="7" t="s">
        <v>81</v>
      </c>
      <c r="E18" s="30" t="s">
        <v>1</v>
      </c>
      <c r="F18" s="14">
        <f>14707.53135*1000</f>
        <v>14707531.35</v>
      </c>
    </row>
    <row r="19" spans="1:6" ht="15.75" x14ac:dyDescent="0.25">
      <c r="A19" s="17" t="s">
        <v>90</v>
      </c>
      <c r="B19" s="28"/>
      <c r="C19" s="30"/>
      <c r="D19" s="7" t="s">
        <v>82</v>
      </c>
      <c r="E19" s="30"/>
      <c r="F19" s="14">
        <f>14707.53135*1000</f>
        <v>14707531.35</v>
      </c>
    </row>
    <row r="20" spans="1:6" ht="15.75" x14ac:dyDescent="0.25">
      <c r="A20" s="17" t="s">
        <v>91</v>
      </c>
      <c r="B20" s="28"/>
      <c r="C20" s="30"/>
      <c r="D20" s="7" t="s">
        <v>83</v>
      </c>
      <c r="E20" s="30"/>
      <c r="F20" s="14">
        <f>14848.21215*1000</f>
        <v>14848212.149999999</v>
      </c>
    </row>
    <row r="21" spans="1:6" ht="47.25" x14ac:dyDescent="0.25">
      <c r="A21" s="17" t="s">
        <v>92</v>
      </c>
      <c r="B21" s="9" t="s">
        <v>13</v>
      </c>
      <c r="C21" s="18" t="s">
        <v>113</v>
      </c>
      <c r="D21" s="7" t="s">
        <v>40</v>
      </c>
      <c r="E21" s="7" t="s">
        <v>1</v>
      </c>
      <c r="F21" s="14">
        <f>2930.0985*1000</f>
        <v>2930098.5</v>
      </c>
    </row>
    <row r="22" spans="1:6" ht="15.75" x14ac:dyDescent="0.25">
      <c r="A22" s="17" t="s">
        <v>108</v>
      </c>
      <c r="B22" s="28" t="s">
        <v>14</v>
      </c>
      <c r="C22" s="30" t="s">
        <v>113</v>
      </c>
      <c r="D22" s="7" t="s">
        <v>41</v>
      </c>
      <c r="E22" s="31" t="s">
        <v>1</v>
      </c>
      <c r="F22" s="14">
        <f>5163.81201*1000</f>
        <v>5163812.01</v>
      </c>
    </row>
    <row r="23" spans="1:6" ht="15.75" x14ac:dyDescent="0.25">
      <c r="A23" s="17" t="s">
        <v>128</v>
      </c>
      <c r="B23" s="28"/>
      <c r="C23" s="30"/>
      <c r="D23" s="7" t="s">
        <v>42</v>
      </c>
      <c r="E23" s="31"/>
      <c r="F23" s="14">
        <f>5234.15241*1000</f>
        <v>5234152.41</v>
      </c>
    </row>
    <row r="24" spans="1:6" ht="15.75" x14ac:dyDescent="0.25">
      <c r="A24" s="17" t="s">
        <v>129</v>
      </c>
      <c r="B24" s="28"/>
      <c r="C24" s="30"/>
      <c r="D24" s="7" t="s">
        <v>43</v>
      </c>
      <c r="E24" s="31"/>
      <c r="F24" s="14">
        <f>5356.07577*1000</f>
        <v>5356075.7700000005</v>
      </c>
    </row>
    <row r="25" spans="1:6" ht="15.75" x14ac:dyDescent="0.25">
      <c r="A25" s="17" t="s">
        <v>130</v>
      </c>
      <c r="B25" s="28" t="s">
        <v>11</v>
      </c>
      <c r="C25" s="30" t="s">
        <v>114</v>
      </c>
      <c r="D25" s="7" t="s">
        <v>84</v>
      </c>
      <c r="E25" s="30" t="s">
        <v>1</v>
      </c>
      <c r="F25" s="14">
        <f>12915.95535*1000</f>
        <v>12915955.35</v>
      </c>
    </row>
    <row r="26" spans="1:6" ht="15.75" x14ac:dyDescent="0.25">
      <c r="A26" s="17" t="s">
        <v>131</v>
      </c>
      <c r="B26" s="28"/>
      <c r="C26" s="30"/>
      <c r="D26" s="7" t="s">
        <v>85</v>
      </c>
      <c r="E26" s="30"/>
      <c r="F26" s="14">
        <f>13041.00495*1000</f>
        <v>13041004.950000001</v>
      </c>
    </row>
    <row r="27" spans="1:6" ht="15.75" x14ac:dyDescent="0.25">
      <c r="A27" s="17" t="s">
        <v>132</v>
      </c>
      <c r="B27" s="28"/>
      <c r="C27" s="30"/>
      <c r="D27" s="7" t="s">
        <v>86</v>
      </c>
      <c r="E27" s="30"/>
      <c r="F27" s="14">
        <f>13248.89991*1000</f>
        <v>13248899.91</v>
      </c>
    </row>
    <row r="28" spans="1:6" ht="47.25" x14ac:dyDescent="0.25">
      <c r="A28" s="17" t="s">
        <v>133</v>
      </c>
      <c r="B28" s="28"/>
      <c r="C28" s="18" t="s">
        <v>115</v>
      </c>
      <c r="D28" s="7" t="s">
        <v>87</v>
      </c>
      <c r="E28" s="30"/>
      <c r="F28" s="14">
        <f>13528.69839*1000</f>
        <v>13528698.389999999</v>
      </c>
    </row>
    <row r="29" spans="1:6" ht="15.75" x14ac:dyDescent="0.25">
      <c r="A29" s="17" t="s">
        <v>134</v>
      </c>
      <c r="B29" s="28" t="s">
        <v>12</v>
      </c>
      <c r="C29" s="30" t="s">
        <v>110</v>
      </c>
      <c r="D29" s="7" t="s">
        <v>84</v>
      </c>
      <c r="E29" s="28" t="s">
        <v>1</v>
      </c>
      <c r="F29" s="14">
        <f>14960.75679*1000</f>
        <v>14960756.789999999</v>
      </c>
    </row>
    <row r="30" spans="1:6" ht="15.75" x14ac:dyDescent="0.25">
      <c r="A30" s="17" t="s">
        <v>135</v>
      </c>
      <c r="B30" s="28"/>
      <c r="C30" s="30"/>
      <c r="D30" s="7" t="s">
        <v>85</v>
      </c>
      <c r="E30" s="28"/>
      <c r="F30" s="14">
        <f>15085.80639*1000</f>
        <v>15085806.390000001</v>
      </c>
    </row>
    <row r="31" spans="1:6" ht="15.75" x14ac:dyDescent="0.25">
      <c r="A31" s="17" t="s">
        <v>136</v>
      </c>
      <c r="B31" s="28"/>
      <c r="C31" s="30"/>
      <c r="D31" s="7" t="s">
        <v>86</v>
      </c>
      <c r="E31" s="28"/>
      <c r="F31" s="14">
        <f>15293.70135*1000</f>
        <v>15293701.35</v>
      </c>
    </row>
    <row r="32" spans="1:6" ht="47.25" x14ac:dyDescent="0.25">
      <c r="A32" s="17" t="s">
        <v>137</v>
      </c>
      <c r="B32" s="28"/>
      <c r="C32" s="18" t="s">
        <v>127</v>
      </c>
      <c r="D32" s="7" t="s">
        <v>84</v>
      </c>
      <c r="E32" s="28"/>
      <c r="F32" s="14">
        <f>21492.88497*1000</f>
        <v>21492884.969999999</v>
      </c>
    </row>
    <row r="33" spans="1:6" ht="15.75" x14ac:dyDescent="0.25">
      <c r="A33" s="17" t="s">
        <v>138</v>
      </c>
      <c r="B33" s="28"/>
      <c r="C33" s="30" t="s">
        <v>93</v>
      </c>
      <c r="D33" s="7" t="s">
        <v>87</v>
      </c>
      <c r="E33" s="28"/>
      <c r="F33" s="14">
        <f>15573.49983*1000</f>
        <v>15573499.83</v>
      </c>
    </row>
    <row r="34" spans="1:6" ht="15.75" x14ac:dyDescent="0.25">
      <c r="A34" s="17" t="s">
        <v>139</v>
      </c>
      <c r="B34" s="28"/>
      <c r="C34" s="30"/>
      <c r="D34" s="7" t="s">
        <v>94</v>
      </c>
      <c r="E34" s="28"/>
      <c r="F34" s="14">
        <f>15933.01743*1000</f>
        <v>15933017.43</v>
      </c>
    </row>
    <row r="35" spans="1:6" ht="15.75" x14ac:dyDescent="0.25">
      <c r="A35" s="17" t="s">
        <v>140</v>
      </c>
      <c r="B35" s="28" t="s">
        <v>13</v>
      </c>
      <c r="C35" s="30" t="s">
        <v>116</v>
      </c>
      <c r="D35" s="7" t="s">
        <v>71</v>
      </c>
      <c r="E35" s="31" t="s">
        <v>1</v>
      </c>
      <c r="F35" s="14">
        <f>2589.33834*1000</f>
        <v>2589338.34</v>
      </c>
    </row>
    <row r="36" spans="1:6" ht="15.75" x14ac:dyDescent="0.25">
      <c r="A36" s="17" t="s">
        <v>141</v>
      </c>
      <c r="B36" s="28"/>
      <c r="C36" s="30"/>
      <c r="D36" s="7" t="s">
        <v>32</v>
      </c>
      <c r="E36" s="31"/>
      <c r="F36" s="14">
        <f>2615.91138*1000</f>
        <v>2615911.38</v>
      </c>
    </row>
    <row r="37" spans="1:6" ht="15.75" x14ac:dyDescent="0.25">
      <c r="A37" s="17" t="s">
        <v>142</v>
      </c>
      <c r="B37" s="28"/>
      <c r="C37" s="30"/>
      <c r="D37" s="7" t="s">
        <v>33</v>
      </c>
      <c r="E37" s="31"/>
      <c r="F37" s="14">
        <f>2650.30002*1000</f>
        <v>2650300.02</v>
      </c>
    </row>
    <row r="38" spans="1:6" ht="15.75" x14ac:dyDescent="0.25">
      <c r="A38" s="17" t="s">
        <v>143</v>
      </c>
      <c r="B38" s="28"/>
      <c r="C38" s="30"/>
      <c r="D38" s="7" t="s">
        <v>34</v>
      </c>
      <c r="E38" s="31"/>
      <c r="F38" s="14">
        <f>2703.4461*1000</f>
        <v>2703446.1</v>
      </c>
    </row>
    <row r="39" spans="1:6" ht="15.75" x14ac:dyDescent="0.25">
      <c r="A39" s="17" t="s">
        <v>144</v>
      </c>
      <c r="B39" s="28" t="s">
        <v>14</v>
      </c>
      <c r="C39" s="30" t="s">
        <v>118</v>
      </c>
      <c r="D39" s="7" t="s">
        <v>44</v>
      </c>
      <c r="E39" s="31" t="s">
        <v>1</v>
      </c>
      <c r="F39" s="14">
        <f>4891.82913*1000</f>
        <v>4891829.13</v>
      </c>
    </row>
    <row r="40" spans="1:6" ht="15.75" x14ac:dyDescent="0.25">
      <c r="A40" s="17" t="s">
        <v>145</v>
      </c>
      <c r="B40" s="28"/>
      <c r="C40" s="30"/>
      <c r="D40" s="7" t="s">
        <v>45</v>
      </c>
      <c r="E40" s="31"/>
      <c r="F40" s="14">
        <f>4934.03337*1000</f>
        <v>4934033.37</v>
      </c>
    </row>
    <row r="41" spans="1:6" ht="15.75" x14ac:dyDescent="0.25">
      <c r="A41" s="17" t="s">
        <v>146</v>
      </c>
      <c r="B41" s="28" t="s">
        <v>13</v>
      </c>
      <c r="C41" s="30" t="s">
        <v>117</v>
      </c>
      <c r="D41" s="7" t="s">
        <v>36</v>
      </c>
      <c r="E41" s="31" t="s">
        <v>1</v>
      </c>
      <c r="F41" s="14">
        <f>2770.66026*1000</f>
        <v>2770660.2600000002</v>
      </c>
    </row>
    <row r="42" spans="1:6" ht="15.75" x14ac:dyDescent="0.25">
      <c r="A42" s="17" t="s">
        <v>147</v>
      </c>
      <c r="B42" s="28"/>
      <c r="C42" s="30"/>
      <c r="D42" s="7" t="s">
        <v>46</v>
      </c>
      <c r="E42" s="31"/>
      <c r="F42" s="14">
        <f>2845.69002*1000</f>
        <v>2845690.02</v>
      </c>
    </row>
    <row r="43" spans="1:6" ht="15.75" x14ac:dyDescent="0.25">
      <c r="A43" s="17" t="s">
        <v>148</v>
      </c>
      <c r="B43" s="28" t="s">
        <v>14</v>
      </c>
      <c r="C43" s="30" t="s">
        <v>117</v>
      </c>
      <c r="D43" s="7" t="s">
        <v>38</v>
      </c>
      <c r="E43" s="31" t="s">
        <v>1</v>
      </c>
      <c r="F43" s="14">
        <f>4994.99505*1000</f>
        <v>4994995.0500000007</v>
      </c>
    </row>
    <row r="44" spans="1:6" ht="15.75" x14ac:dyDescent="0.25">
      <c r="A44" s="17" t="s">
        <v>149</v>
      </c>
      <c r="B44" s="28"/>
      <c r="C44" s="30"/>
      <c r="D44" s="7" t="s">
        <v>47</v>
      </c>
      <c r="E44" s="31"/>
      <c r="F44" s="14">
        <f>5079.40353*1000</f>
        <v>5079403.5299999993</v>
      </c>
    </row>
    <row r="45" spans="1:6" ht="47.25" x14ac:dyDescent="0.25">
      <c r="A45" s="17" t="s">
        <v>150</v>
      </c>
      <c r="B45" s="9" t="s">
        <v>13</v>
      </c>
      <c r="C45" s="18" t="s">
        <v>119</v>
      </c>
      <c r="D45" s="7" t="s">
        <v>40</v>
      </c>
      <c r="E45" s="7" t="s">
        <v>1</v>
      </c>
      <c r="F45" s="14">
        <f>2930.0985*1000</f>
        <v>2930098.5</v>
      </c>
    </row>
    <row r="46" spans="1:6" ht="15.75" x14ac:dyDescent="0.25">
      <c r="A46" s="9">
        <v>41</v>
      </c>
      <c r="B46" s="28" t="s">
        <v>14</v>
      </c>
      <c r="C46" s="30" t="s">
        <v>120</v>
      </c>
      <c r="D46" s="7" t="s">
        <v>41</v>
      </c>
      <c r="E46" s="31" t="s">
        <v>1</v>
      </c>
      <c r="F46" s="14">
        <f>5163.81201*1000</f>
        <v>5163812.01</v>
      </c>
    </row>
    <row r="47" spans="1:6" ht="15.75" x14ac:dyDescent="0.25">
      <c r="A47" s="9">
        <v>42</v>
      </c>
      <c r="B47" s="28"/>
      <c r="C47" s="30"/>
      <c r="D47" s="7" t="s">
        <v>42</v>
      </c>
      <c r="E47" s="31"/>
      <c r="F47" s="14">
        <f>5234.15241*1000</f>
        <v>5234152.41</v>
      </c>
    </row>
    <row r="48" spans="1:6" ht="15.75" x14ac:dyDescent="0.25">
      <c r="A48" s="9">
        <v>43</v>
      </c>
      <c r="B48" s="28"/>
      <c r="C48" s="30"/>
      <c r="D48" s="7" t="s">
        <v>43</v>
      </c>
      <c r="E48" s="31"/>
      <c r="F48" s="14">
        <f>5356.07577*1000</f>
        <v>5356075.7700000005</v>
      </c>
    </row>
    <row r="49" spans="1:6" ht="15.75" x14ac:dyDescent="0.25">
      <c r="A49" s="9">
        <v>44</v>
      </c>
      <c r="B49" s="28" t="s">
        <v>13</v>
      </c>
      <c r="C49" s="30" t="s">
        <v>74</v>
      </c>
      <c r="D49" s="7" t="s">
        <v>28</v>
      </c>
      <c r="E49" s="31" t="s">
        <v>1</v>
      </c>
      <c r="F49" s="15">
        <f>3511.66932*1000</f>
        <v>3511669.32</v>
      </c>
    </row>
    <row r="50" spans="1:6" ht="15.75" x14ac:dyDescent="0.25">
      <c r="A50" s="9">
        <v>45</v>
      </c>
      <c r="B50" s="28"/>
      <c r="C50" s="30"/>
      <c r="D50" s="7" t="s">
        <v>29</v>
      </c>
      <c r="E50" s="31"/>
      <c r="F50" s="15">
        <f>3571.7292*1000</f>
        <v>3571729.2</v>
      </c>
    </row>
    <row r="51" spans="1:6" ht="15.75" x14ac:dyDescent="0.25">
      <c r="A51" s="9">
        <v>46</v>
      </c>
      <c r="B51" s="28"/>
      <c r="C51" s="30"/>
      <c r="D51" s="7" t="s">
        <v>30</v>
      </c>
      <c r="E51" s="31"/>
      <c r="F51" s="15">
        <f>3668.49234*1000</f>
        <v>3668492.34</v>
      </c>
    </row>
    <row r="52" spans="1:6" ht="15.75" x14ac:dyDescent="0.25">
      <c r="A52" s="9">
        <v>47</v>
      </c>
      <c r="B52" s="9" t="s">
        <v>14</v>
      </c>
      <c r="C52" s="30"/>
      <c r="D52" s="7" t="s">
        <v>31</v>
      </c>
      <c r="E52" s="31"/>
      <c r="F52" s="15">
        <f>5138.29107*1000</f>
        <v>5138291.07</v>
      </c>
    </row>
    <row r="53" spans="1:6" ht="15.75" x14ac:dyDescent="0.25">
      <c r="A53" s="9">
        <v>48</v>
      </c>
      <c r="B53" s="28" t="s">
        <v>13</v>
      </c>
      <c r="C53" s="30" t="s">
        <v>75</v>
      </c>
      <c r="D53" s="7" t="s">
        <v>48</v>
      </c>
      <c r="E53" s="28" t="s">
        <v>1</v>
      </c>
      <c r="F53" s="15">
        <f>3735.22554*1000</f>
        <v>3735225.54</v>
      </c>
    </row>
    <row r="54" spans="1:6" ht="15.75" x14ac:dyDescent="0.25">
      <c r="A54" s="9">
        <v>49</v>
      </c>
      <c r="B54" s="28"/>
      <c r="C54" s="30"/>
      <c r="D54" s="7" t="s">
        <v>49</v>
      </c>
      <c r="E54" s="28"/>
      <c r="F54" s="15">
        <f>3903.72687*1000</f>
        <v>3903726.87</v>
      </c>
    </row>
    <row r="55" spans="1:6" ht="15.75" x14ac:dyDescent="0.25">
      <c r="A55" s="9">
        <v>50</v>
      </c>
      <c r="B55" s="28" t="s">
        <v>14</v>
      </c>
      <c r="C55" s="30"/>
      <c r="D55" s="7" t="s">
        <v>50</v>
      </c>
      <c r="E55" s="28"/>
      <c r="F55" s="15">
        <f>6231.04722*1000</f>
        <v>6231047.2200000007</v>
      </c>
    </row>
    <row r="56" spans="1:6" ht="15.75" x14ac:dyDescent="0.25">
      <c r="A56" s="9">
        <v>51</v>
      </c>
      <c r="B56" s="28"/>
      <c r="C56" s="30"/>
      <c r="D56" s="7" t="s">
        <v>51</v>
      </c>
      <c r="E56" s="28"/>
      <c r="F56" s="15">
        <f>6402.88521*1000</f>
        <v>6402885.21</v>
      </c>
    </row>
    <row r="57" spans="1:6" ht="15.75" x14ac:dyDescent="0.25">
      <c r="A57" s="9">
        <v>52</v>
      </c>
      <c r="B57" s="28" t="s">
        <v>13</v>
      </c>
      <c r="C57" s="30" t="s">
        <v>76</v>
      </c>
      <c r="D57" s="7" t="s">
        <v>60</v>
      </c>
      <c r="E57" s="28" t="s">
        <v>1</v>
      </c>
      <c r="F57" s="15">
        <f>4035.52494*1000</f>
        <v>4035524.94</v>
      </c>
    </row>
    <row r="58" spans="1:6" ht="15.75" x14ac:dyDescent="0.25">
      <c r="A58" s="9">
        <v>53</v>
      </c>
      <c r="B58" s="28"/>
      <c r="C58" s="30"/>
      <c r="D58" s="7" t="s">
        <v>61</v>
      </c>
      <c r="E58" s="28"/>
      <c r="F58" s="15">
        <f>4209.03126*1000</f>
        <v>4209031.26</v>
      </c>
    </row>
    <row r="59" spans="1:6" ht="15.75" x14ac:dyDescent="0.25">
      <c r="A59" s="9">
        <v>54</v>
      </c>
      <c r="B59" s="28"/>
      <c r="C59" s="30"/>
      <c r="D59" s="7" t="s">
        <v>62</v>
      </c>
      <c r="E59" s="28"/>
      <c r="F59" s="15">
        <f>4532.68728*1000</f>
        <v>4532687.28</v>
      </c>
    </row>
    <row r="60" spans="1:6" ht="15.75" x14ac:dyDescent="0.25">
      <c r="A60" s="9">
        <v>55</v>
      </c>
      <c r="B60" s="28" t="s">
        <v>14</v>
      </c>
      <c r="C60" s="30"/>
      <c r="D60" s="7" t="s">
        <v>63</v>
      </c>
      <c r="E60" s="28"/>
      <c r="F60" s="15">
        <f>6517.99998*1000</f>
        <v>6517999.9799999995</v>
      </c>
    </row>
    <row r="61" spans="1:6" ht="15.75" x14ac:dyDescent="0.25">
      <c r="A61" s="9">
        <v>56</v>
      </c>
      <c r="B61" s="28"/>
      <c r="C61" s="30"/>
      <c r="D61" s="7" t="s">
        <v>64</v>
      </c>
      <c r="E61" s="28"/>
      <c r="F61" s="15">
        <f>6698.17962*1000</f>
        <v>6698179.6200000001</v>
      </c>
    </row>
    <row r="62" spans="1:6" ht="15.75" x14ac:dyDescent="0.25">
      <c r="A62" s="9">
        <v>57</v>
      </c>
      <c r="B62" s="28"/>
      <c r="C62" s="30"/>
      <c r="D62" s="7" t="s">
        <v>65</v>
      </c>
      <c r="E62" s="28"/>
      <c r="F62" s="15">
        <f>6998.47902*1000</f>
        <v>6998479.0199999996</v>
      </c>
    </row>
    <row r="63" spans="1:6" ht="15.75" x14ac:dyDescent="0.25">
      <c r="A63" s="9">
        <v>58</v>
      </c>
      <c r="B63" s="9" t="s">
        <v>12</v>
      </c>
      <c r="C63" s="30"/>
      <c r="D63" s="7" t="s">
        <v>65</v>
      </c>
      <c r="E63" s="28"/>
      <c r="F63" s="15">
        <f>41556.22155*1000</f>
        <v>41556221.550000004</v>
      </c>
    </row>
    <row r="64" spans="1:6" ht="15.75" x14ac:dyDescent="0.25">
      <c r="A64" s="9">
        <v>59</v>
      </c>
      <c r="B64" s="9" t="s">
        <v>13</v>
      </c>
      <c r="C64" s="30" t="s">
        <v>77</v>
      </c>
      <c r="D64" s="7" t="s">
        <v>66</v>
      </c>
      <c r="E64" s="9"/>
      <c r="F64" s="15">
        <f>4866.35328*1000</f>
        <v>4866353.28</v>
      </c>
    </row>
    <row r="65" spans="1:7" ht="15.75" x14ac:dyDescent="0.25">
      <c r="A65" s="9">
        <v>60</v>
      </c>
      <c r="B65" s="28" t="s">
        <v>14</v>
      </c>
      <c r="C65" s="30"/>
      <c r="D65" s="7" t="s">
        <v>67</v>
      </c>
      <c r="E65" s="28" t="s">
        <v>1</v>
      </c>
      <c r="F65" s="15">
        <f>8101.24515*1000</f>
        <v>8101245.1499999994</v>
      </c>
    </row>
    <row r="66" spans="1:7" ht="47.25" x14ac:dyDescent="0.25">
      <c r="A66" s="9">
        <v>61</v>
      </c>
      <c r="B66" s="28"/>
      <c r="C66" s="18" t="s">
        <v>80</v>
      </c>
      <c r="D66" s="7" t="s">
        <v>68</v>
      </c>
      <c r="E66" s="28"/>
      <c r="F66" s="15">
        <f>8453.26278*1000</f>
        <v>8453262.7799999993</v>
      </c>
    </row>
    <row r="67" spans="1:7" ht="47.25" x14ac:dyDescent="0.25">
      <c r="A67" s="9">
        <v>62</v>
      </c>
      <c r="B67" s="28"/>
      <c r="C67" s="18" t="s">
        <v>78</v>
      </c>
      <c r="D67" s="7" t="s">
        <v>69</v>
      </c>
      <c r="E67" s="28"/>
      <c r="F67" s="15">
        <f>9025.49997*1000</f>
        <v>9025499.9700000007</v>
      </c>
    </row>
    <row r="68" spans="1:7" ht="47.25" x14ac:dyDescent="0.25">
      <c r="A68" s="9">
        <v>63</v>
      </c>
      <c r="B68" s="28"/>
      <c r="C68" s="18" t="s">
        <v>79</v>
      </c>
      <c r="D68" s="7" t="s">
        <v>70</v>
      </c>
      <c r="E68" s="28"/>
      <c r="F68" s="15">
        <f>9647.78706*1000</f>
        <v>9647787.0600000005</v>
      </c>
    </row>
    <row r="69" spans="1:7" ht="47.25" x14ac:dyDescent="0.25">
      <c r="A69" s="9">
        <v>64</v>
      </c>
      <c r="B69" s="28"/>
      <c r="C69" s="18" t="s">
        <v>95</v>
      </c>
      <c r="D69" s="7" t="s">
        <v>96</v>
      </c>
      <c r="E69" s="28"/>
      <c r="F69" s="15">
        <f>10667.13669*1000</f>
        <v>10667136.689999999</v>
      </c>
    </row>
    <row r="70" spans="1:7" ht="47.25" x14ac:dyDescent="0.25">
      <c r="A70" s="9">
        <v>65</v>
      </c>
      <c r="B70" s="28" t="s">
        <v>12</v>
      </c>
      <c r="C70" s="18" t="s">
        <v>77</v>
      </c>
      <c r="D70" s="7" t="s">
        <v>67</v>
      </c>
      <c r="E70" s="28"/>
      <c r="F70" s="15">
        <f>43513.17264*1000</f>
        <v>43513172.640000001</v>
      </c>
    </row>
    <row r="71" spans="1:7" ht="47.25" x14ac:dyDescent="0.25">
      <c r="A71" s="9">
        <v>66</v>
      </c>
      <c r="B71" s="28"/>
      <c r="C71" s="18" t="s">
        <v>80</v>
      </c>
      <c r="D71" s="7" t="s">
        <v>68</v>
      </c>
      <c r="E71" s="28"/>
      <c r="F71" s="15">
        <f>44000.325*1000</f>
        <v>44000325</v>
      </c>
    </row>
    <row r="72" spans="1:7" ht="63" x14ac:dyDescent="0.25">
      <c r="A72" s="9">
        <v>67</v>
      </c>
      <c r="B72" s="7" t="s">
        <v>14</v>
      </c>
      <c r="C72" s="18" t="s">
        <v>98</v>
      </c>
      <c r="D72" s="7" t="s">
        <v>31</v>
      </c>
      <c r="E72" s="7" t="s">
        <v>1</v>
      </c>
      <c r="F72" s="15">
        <f>29962.12464*1000</f>
        <v>29962124.640000001</v>
      </c>
      <c r="G72" s="4"/>
    </row>
    <row r="73" spans="1:7" ht="15.75" x14ac:dyDescent="0.25">
      <c r="A73" s="9">
        <v>68</v>
      </c>
      <c r="B73" s="28" t="s">
        <v>13</v>
      </c>
      <c r="C73" s="30" t="s">
        <v>99</v>
      </c>
      <c r="D73" s="7" t="s">
        <v>48</v>
      </c>
      <c r="E73" s="28" t="s">
        <v>1</v>
      </c>
      <c r="F73" s="15">
        <f>28559.05911*1000</f>
        <v>28559059.109999999</v>
      </c>
    </row>
    <row r="74" spans="1:7" ht="15.75" x14ac:dyDescent="0.25">
      <c r="A74" s="9">
        <v>69</v>
      </c>
      <c r="B74" s="28"/>
      <c r="C74" s="30"/>
      <c r="D74" s="7" t="s">
        <v>49</v>
      </c>
      <c r="E74" s="28"/>
      <c r="F74" s="15">
        <f>28727.56044*1000</f>
        <v>28727560.440000001</v>
      </c>
    </row>
    <row r="75" spans="1:7" ht="15.75" x14ac:dyDescent="0.25">
      <c r="A75" s="9">
        <v>70</v>
      </c>
      <c r="B75" s="28" t="s">
        <v>14</v>
      </c>
      <c r="C75" s="30"/>
      <c r="D75" s="7" t="s">
        <v>50</v>
      </c>
      <c r="E75" s="28"/>
      <c r="F75" s="15">
        <f>31054.88079*1000</f>
        <v>31054880.789999999</v>
      </c>
    </row>
    <row r="76" spans="1:7" ht="15.75" x14ac:dyDescent="0.25">
      <c r="A76" s="9">
        <v>71</v>
      </c>
      <c r="B76" s="28"/>
      <c r="C76" s="30"/>
      <c r="D76" s="7" t="s">
        <v>51</v>
      </c>
      <c r="E76" s="28"/>
      <c r="F76" s="15">
        <f>31226.71878*1000</f>
        <v>31226718.779999997</v>
      </c>
    </row>
    <row r="77" spans="1:7" ht="15.75" x14ac:dyDescent="0.25">
      <c r="A77" s="9">
        <v>72</v>
      </c>
      <c r="B77" s="28" t="s">
        <v>13</v>
      </c>
      <c r="C77" s="30" t="s">
        <v>97</v>
      </c>
      <c r="D77" s="7" t="s">
        <v>60</v>
      </c>
      <c r="E77" s="28" t="s">
        <v>1</v>
      </c>
      <c r="F77" s="15">
        <f>28859.35851*1000</f>
        <v>28859358.509999998</v>
      </c>
    </row>
    <row r="78" spans="1:7" ht="15.75" x14ac:dyDescent="0.25">
      <c r="A78" s="9">
        <v>73</v>
      </c>
      <c r="B78" s="28"/>
      <c r="C78" s="30"/>
      <c r="D78" s="7" t="s">
        <v>61</v>
      </c>
      <c r="E78" s="28"/>
      <c r="F78" s="15">
        <f>36606.00087*1000</f>
        <v>36606000.870000005</v>
      </c>
    </row>
    <row r="79" spans="1:7" ht="15.75" x14ac:dyDescent="0.25">
      <c r="A79" s="9">
        <v>74</v>
      </c>
      <c r="B79" s="28"/>
      <c r="C79" s="30"/>
      <c r="D79" s="7" t="s">
        <v>62</v>
      </c>
      <c r="E79" s="28"/>
      <c r="F79" s="15">
        <f>36929.65689*1000</f>
        <v>36929656.890000001</v>
      </c>
    </row>
    <row r="80" spans="1:7" ht="15.75" x14ac:dyDescent="0.25">
      <c r="A80" s="9">
        <v>75</v>
      </c>
      <c r="B80" s="28" t="s">
        <v>14</v>
      </c>
      <c r="C80" s="30"/>
      <c r="D80" s="7" t="s">
        <v>63</v>
      </c>
      <c r="E80" s="28"/>
      <c r="F80" s="15">
        <f>31341.83355*1000</f>
        <v>31341833.550000001</v>
      </c>
    </row>
    <row r="81" spans="1:7" ht="15.75" x14ac:dyDescent="0.25">
      <c r="A81" s="9">
        <v>76</v>
      </c>
      <c r="B81" s="28"/>
      <c r="C81" s="30"/>
      <c r="D81" s="7" t="s">
        <v>64</v>
      </c>
      <c r="E81" s="28"/>
      <c r="F81" s="15">
        <f>39095.14923*1000</f>
        <v>39095149.230000004</v>
      </c>
    </row>
    <row r="82" spans="1:7" ht="15.75" x14ac:dyDescent="0.25">
      <c r="A82" s="9">
        <v>77</v>
      </c>
      <c r="B82" s="28"/>
      <c r="C82" s="30"/>
      <c r="D82" s="7" t="s">
        <v>65</v>
      </c>
      <c r="E82" s="28"/>
      <c r="F82" s="15">
        <f>39395.448629*1000</f>
        <v>39395448.629000001</v>
      </c>
    </row>
    <row r="83" spans="1:7" ht="15.75" x14ac:dyDescent="0.25">
      <c r="A83" s="9">
        <v>78</v>
      </c>
      <c r="B83" s="9" t="s">
        <v>13</v>
      </c>
      <c r="C83" s="30" t="s">
        <v>100</v>
      </c>
      <c r="D83" s="7" t="s">
        <v>66</v>
      </c>
      <c r="E83" s="28" t="s">
        <v>1</v>
      </c>
      <c r="F83" s="15">
        <f>37263.32289*1000</f>
        <v>37263322.890000001</v>
      </c>
    </row>
    <row r="84" spans="1:7" ht="15.75" x14ac:dyDescent="0.25">
      <c r="A84" s="9">
        <v>79</v>
      </c>
      <c r="B84" s="28" t="s">
        <v>14</v>
      </c>
      <c r="C84" s="30"/>
      <c r="D84" s="7" t="s">
        <v>67</v>
      </c>
      <c r="E84" s="28"/>
      <c r="F84" s="15">
        <f>40498.21476*1000</f>
        <v>40498214.760000005</v>
      </c>
    </row>
    <row r="85" spans="1:7" ht="63" x14ac:dyDescent="0.25">
      <c r="A85" s="9">
        <v>80</v>
      </c>
      <c r="B85" s="28"/>
      <c r="C85" s="18" t="s">
        <v>101</v>
      </c>
      <c r="D85" s="7" t="s">
        <v>68</v>
      </c>
      <c r="E85" s="28"/>
      <c r="F85" s="15">
        <f>40850.23239*1000</f>
        <v>40850232.390000001</v>
      </c>
    </row>
    <row r="86" spans="1:7" ht="63" x14ac:dyDescent="0.25">
      <c r="A86" s="9">
        <v>81</v>
      </c>
      <c r="B86" s="28"/>
      <c r="C86" s="18" t="s">
        <v>102</v>
      </c>
      <c r="D86" s="7" t="s">
        <v>69</v>
      </c>
      <c r="E86" s="28"/>
      <c r="F86" s="15">
        <f>41422.46958*1000</f>
        <v>41422469.579999998</v>
      </c>
    </row>
    <row r="87" spans="1:7" ht="63" x14ac:dyDescent="0.25">
      <c r="A87" s="9">
        <v>82</v>
      </c>
      <c r="B87" s="28"/>
      <c r="C87" s="18" t="s">
        <v>103</v>
      </c>
      <c r="D87" s="7" t="s">
        <v>70</v>
      </c>
      <c r="E87" s="28"/>
      <c r="F87" s="15">
        <f>42044.75667*1000</f>
        <v>42044756.670000002</v>
      </c>
    </row>
    <row r="88" spans="1:7" ht="15.75" x14ac:dyDescent="0.25">
      <c r="A88" s="9">
        <v>83</v>
      </c>
      <c r="B88" s="7" t="s">
        <v>14</v>
      </c>
      <c r="C88" s="18" t="s">
        <v>3</v>
      </c>
      <c r="D88" s="28"/>
      <c r="E88" s="7" t="s">
        <v>2</v>
      </c>
      <c r="F88" s="15">
        <f>3175.34301*1000</f>
        <v>3175343.0100000002</v>
      </c>
    </row>
    <row r="89" spans="1:7" ht="47.25" x14ac:dyDescent="0.25">
      <c r="A89" s="9">
        <v>84</v>
      </c>
      <c r="B89" s="32" t="s">
        <v>106</v>
      </c>
      <c r="C89" s="18" t="s">
        <v>72</v>
      </c>
      <c r="D89" s="28"/>
      <c r="E89" s="28" t="s">
        <v>2</v>
      </c>
      <c r="F89" s="15">
        <f>66160.557*1000</f>
        <v>66160557</v>
      </c>
    </row>
    <row r="90" spans="1:7" ht="47.25" x14ac:dyDescent="0.25">
      <c r="A90" s="9">
        <v>85</v>
      </c>
      <c r="B90" s="32"/>
      <c r="C90" s="18" t="s">
        <v>105</v>
      </c>
      <c r="D90" s="28"/>
      <c r="E90" s="28"/>
      <c r="F90" s="15">
        <f>22805.019*1000</f>
        <v>22805019</v>
      </c>
      <c r="G90" s="5"/>
    </row>
    <row r="91" spans="1:7" ht="31.5" x14ac:dyDescent="0.25">
      <c r="A91" s="19">
        <v>86</v>
      </c>
      <c r="B91" s="28" t="s">
        <v>106</v>
      </c>
      <c r="C91" s="18" t="s">
        <v>73</v>
      </c>
      <c r="D91" s="28"/>
      <c r="E91" s="28" t="s">
        <v>2</v>
      </c>
      <c r="F91" s="15">
        <f>30377.133*1000</f>
        <v>30377133</v>
      </c>
    </row>
    <row r="92" spans="1:7" ht="31.5" x14ac:dyDescent="0.25">
      <c r="A92" s="19">
        <v>87</v>
      </c>
      <c r="B92" s="28"/>
      <c r="C92" s="18" t="s">
        <v>104</v>
      </c>
      <c r="D92" s="28"/>
      <c r="E92" s="28"/>
      <c r="F92" s="15">
        <f>10125.711*1000</f>
        <v>10125711</v>
      </c>
    </row>
    <row r="93" spans="1:7" ht="63" x14ac:dyDescent="0.25">
      <c r="A93" s="19">
        <v>88</v>
      </c>
      <c r="B93" s="20" t="s">
        <v>106</v>
      </c>
      <c r="C93" s="18" t="s">
        <v>107</v>
      </c>
      <c r="D93" s="28"/>
      <c r="E93" s="9" t="s">
        <v>2</v>
      </c>
      <c r="F93" s="15">
        <f>48479.21991*1000</f>
        <v>48479219.909999996</v>
      </c>
    </row>
    <row r="94" spans="1:7" ht="15.75" x14ac:dyDescent="0.25">
      <c r="A94" s="19">
        <v>89</v>
      </c>
      <c r="B94" s="28" t="s">
        <v>15</v>
      </c>
      <c r="C94" s="30" t="s">
        <v>121</v>
      </c>
      <c r="D94" s="7" t="s">
        <v>52</v>
      </c>
      <c r="E94" s="9" t="s">
        <v>158</v>
      </c>
      <c r="F94" s="15">
        <v>43789.33935483871</v>
      </c>
    </row>
    <row r="95" spans="1:7" ht="15.75" x14ac:dyDescent="0.25">
      <c r="A95" s="19">
        <v>90</v>
      </c>
      <c r="B95" s="28"/>
      <c r="C95" s="30"/>
      <c r="D95" s="7" t="s">
        <v>53</v>
      </c>
      <c r="E95" s="9" t="s">
        <v>158</v>
      </c>
      <c r="F95" s="15">
        <v>18573.170506912444</v>
      </c>
    </row>
    <row r="96" spans="1:7" ht="15.75" x14ac:dyDescent="0.25">
      <c r="A96" s="19">
        <v>91</v>
      </c>
      <c r="B96" s="28"/>
      <c r="C96" s="30"/>
      <c r="D96" s="7" t="s">
        <v>54</v>
      </c>
      <c r="E96" s="9" t="s">
        <v>158</v>
      </c>
      <c r="F96" s="15">
        <v>12352.074193548386</v>
      </c>
    </row>
    <row r="97" spans="1:9" ht="15.75" x14ac:dyDescent="0.25">
      <c r="A97" s="19">
        <v>92</v>
      </c>
      <c r="B97" s="28" t="s">
        <v>15</v>
      </c>
      <c r="C97" s="30" t="s">
        <v>122</v>
      </c>
      <c r="D97" s="7" t="s">
        <v>55</v>
      </c>
      <c r="E97" s="9" t="s">
        <v>158</v>
      </c>
      <c r="F97" s="15">
        <v>8737.197580645161</v>
      </c>
    </row>
    <row r="98" spans="1:9" ht="15.75" x14ac:dyDescent="0.25">
      <c r="A98" s="19">
        <v>93</v>
      </c>
      <c r="B98" s="28"/>
      <c r="C98" s="30"/>
      <c r="D98" s="7" t="s">
        <v>56</v>
      </c>
      <c r="E98" s="9" t="s">
        <v>158</v>
      </c>
      <c r="F98" s="15">
        <v>5934.4258064516125</v>
      </c>
    </row>
    <row r="99" spans="1:9" ht="15.75" x14ac:dyDescent="0.25">
      <c r="A99" s="19">
        <v>94</v>
      </c>
      <c r="B99" s="28" t="s">
        <v>15</v>
      </c>
      <c r="C99" s="30" t="s">
        <v>123</v>
      </c>
      <c r="D99" s="7" t="s">
        <v>57</v>
      </c>
      <c r="E99" s="9" t="s">
        <v>158</v>
      </c>
      <c r="F99" s="15">
        <v>4672.6330645161288</v>
      </c>
    </row>
    <row r="100" spans="1:9" ht="15.75" x14ac:dyDescent="0.25">
      <c r="A100" s="19">
        <v>95</v>
      </c>
      <c r="B100" s="28"/>
      <c r="C100" s="30"/>
      <c r="D100" s="7" t="s">
        <v>58</v>
      </c>
      <c r="E100" s="9" t="s">
        <v>158</v>
      </c>
      <c r="F100" s="15">
        <v>6624.0254992319515</v>
      </c>
    </row>
    <row r="101" spans="1:9" ht="31.5" x14ac:dyDescent="0.25">
      <c r="A101" s="19">
        <v>96</v>
      </c>
      <c r="B101" s="28"/>
      <c r="C101" s="18" t="s">
        <v>124</v>
      </c>
      <c r="D101" s="7" t="s">
        <v>59</v>
      </c>
      <c r="E101" s="9" t="s">
        <v>158</v>
      </c>
      <c r="F101" s="15">
        <v>4419.8220000000001</v>
      </c>
    </row>
    <row r="102" spans="1:9" ht="31.5" x14ac:dyDescent="0.25">
      <c r="A102" s="19">
        <v>97</v>
      </c>
      <c r="B102" s="28" t="s">
        <v>15</v>
      </c>
      <c r="C102" s="18" t="s">
        <v>125</v>
      </c>
      <c r="D102" s="7" t="s">
        <v>151</v>
      </c>
      <c r="E102" s="9" t="s">
        <v>158</v>
      </c>
      <c r="F102" s="15">
        <v>10316.333419354838</v>
      </c>
    </row>
    <row r="103" spans="1:9" ht="15.75" x14ac:dyDescent="0.25">
      <c r="A103" s="19">
        <v>98</v>
      </c>
      <c r="B103" s="28"/>
      <c r="C103" s="30" t="s">
        <v>126</v>
      </c>
      <c r="D103" s="7" t="s">
        <v>152</v>
      </c>
      <c r="E103" s="9" t="s">
        <v>158</v>
      </c>
      <c r="F103" s="15">
        <v>6653.2800000000007</v>
      </c>
    </row>
    <row r="104" spans="1:9" ht="15.75" x14ac:dyDescent="0.25">
      <c r="A104" s="19">
        <v>99</v>
      </c>
      <c r="B104" s="9" t="s">
        <v>15</v>
      </c>
      <c r="C104" s="30"/>
      <c r="D104" s="7" t="s">
        <v>153</v>
      </c>
      <c r="E104" s="9" t="s">
        <v>158</v>
      </c>
      <c r="F104" s="15">
        <v>4387.4568356374812</v>
      </c>
    </row>
    <row r="105" spans="1:9" s="3" customFormat="1" ht="15.75" x14ac:dyDescent="0.25">
      <c r="A105" s="19">
        <v>100</v>
      </c>
      <c r="B105" s="7" t="s">
        <v>16</v>
      </c>
      <c r="C105" s="30" t="s">
        <v>4</v>
      </c>
      <c r="D105" s="28"/>
      <c r="E105" s="31" t="s">
        <v>5</v>
      </c>
      <c r="F105" s="15">
        <f>47.513889*1000</f>
        <v>47513.888999999996</v>
      </c>
      <c r="I105" s="1"/>
    </row>
    <row r="106" spans="1:9" s="3" customFormat="1" ht="15.75" x14ac:dyDescent="0.25">
      <c r="A106" s="19">
        <v>101</v>
      </c>
      <c r="B106" s="7" t="s">
        <v>17</v>
      </c>
      <c r="C106" s="30"/>
      <c r="D106" s="28"/>
      <c r="E106" s="31"/>
      <c r="F106" s="15">
        <f>26.80733*1000</f>
        <v>26807.33</v>
      </c>
      <c r="I106" s="1"/>
    </row>
    <row r="107" spans="1:9" s="3" customFormat="1" ht="15.75" x14ac:dyDescent="0.25">
      <c r="A107" s="19">
        <v>102</v>
      </c>
      <c r="B107" s="7" t="s">
        <v>18</v>
      </c>
      <c r="C107" s="30"/>
      <c r="D107" s="28"/>
      <c r="E107" s="31"/>
      <c r="F107" s="15">
        <f>541.13541*1000</f>
        <v>541135.41</v>
      </c>
      <c r="I107" s="1"/>
    </row>
    <row r="108" spans="1:9" s="3" customFormat="1" ht="15.75" x14ac:dyDescent="0.25">
      <c r="A108" s="19">
        <v>103</v>
      </c>
      <c r="B108" s="7" t="s">
        <v>11</v>
      </c>
      <c r="C108" s="30"/>
      <c r="D108" s="28"/>
      <c r="E108" s="31"/>
      <c r="F108" s="15">
        <f>2769.930508*1000</f>
        <v>2769930.5079999999</v>
      </c>
      <c r="I108" s="1"/>
    </row>
    <row r="109" spans="1:9" s="3" customFormat="1" ht="15.75" x14ac:dyDescent="0.25">
      <c r="A109" s="19">
        <v>104</v>
      </c>
      <c r="B109" s="7" t="s">
        <v>12</v>
      </c>
      <c r="C109" s="30"/>
      <c r="D109" s="28"/>
      <c r="E109" s="31"/>
      <c r="F109" s="15">
        <f>7387.493142*1000</f>
        <v>7387493.142</v>
      </c>
      <c r="I109" s="1"/>
    </row>
    <row r="110" spans="1:9" s="3" customFormat="1" ht="15.75" x14ac:dyDescent="0.25">
      <c r="A110" s="19">
        <v>105</v>
      </c>
      <c r="B110" s="7" t="s">
        <v>16</v>
      </c>
      <c r="C110" s="30" t="s">
        <v>6</v>
      </c>
      <c r="D110" s="28"/>
      <c r="E110" s="31" t="s">
        <v>5</v>
      </c>
      <c r="F110" s="15">
        <f>47.513889*1000</f>
        <v>47513.888999999996</v>
      </c>
      <c r="I110" s="1"/>
    </row>
    <row r="111" spans="1:9" s="3" customFormat="1" ht="15.75" x14ac:dyDescent="0.25">
      <c r="A111" s="19">
        <v>106</v>
      </c>
      <c r="B111" s="7" t="s">
        <v>17</v>
      </c>
      <c r="C111" s="30"/>
      <c r="D111" s="28"/>
      <c r="E111" s="31"/>
      <c r="F111" s="15">
        <f>26.80733*1000</f>
        <v>26807.33</v>
      </c>
      <c r="I111" s="1"/>
    </row>
    <row r="112" spans="1:9" s="3" customFormat="1" ht="15.75" x14ac:dyDescent="0.25">
      <c r="A112" s="19">
        <v>107</v>
      </c>
      <c r="B112" s="7" t="s">
        <v>18</v>
      </c>
      <c r="C112" s="30"/>
      <c r="D112" s="28"/>
      <c r="E112" s="31"/>
      <c r="F112" s="15">
        <f>541.13541*1000</f>
        <v>541135.41</v>
      </c>
      <c r="I112" s="1"/>
    </row>
    <row r="113" spans="1:9" s="3" customFormat="1" ht="15.75" x14ac:dyDescent="0.25">
      <c r="A113" s="19">
        <v>108</v>
      </c>
      <c r="B113" s="7" t="s">
        <v>11</v>
      </c>
      <c r="C113" s="30"/>
      <c r="D113" s="28"/>
      <c r="E113" s="31"/>
      <c r="F113" s="15">
        <f>2769.930508*1000</f>
        <v>2769930.5079999999</v>
      </c>
      <c r="I113" s="1"/>
    </row>
    <row r="114" spans="1:9" s="3" customFormat="1" ht="15.75" x14ac:dyDescent="0.25">
      <c r="A114" s="19">
        <v>109</v>
      </c>
      <c r="B114" s="7" t="s">
        <v>12</v>
      </c>
      <c r="C114" s="30"/>
      <c r="D114" s="28"/>
      <c r="E114" s="31"/>
      <c r="F114" s="15">
        <f>7387.493142*1000</f>
        <v>7387493.142</v>
      </c>
      <c r="I114" s="1"/>
    </row>
    <row r="115" spans="1:9" s="3" customFormat="1" ht="15.75" x14ac:dyDescent="0.25">
      <c r="A115" s="19">
        <v>110</v>
      </c>
      <c r="B115" s="7" t="s">
        <v>16</v>
      </c>
      <c r="C115" s="30" t="s">
        <v>7</v>
      </c>
      <c r="D115" s="28"/>
      <c r="E115" s="31" t="s">
        <v>5</v>
      </c>
      <c r="F115" s="15">
        <f>47.513889*1000</f>
        <v>47513.888999999996</v>
      </c>
      <c r="I115" s="1"/>
    </row>
    <row r="116" spans="1:9" s="3" customFormat="1" ht="15.75" x14ac:dyDescent="0.25">
      <c r="A116" s="19">
        <v>111</v>
      </c>
      <c r="B116" s="7" t="s">
        <v>17</v>
      </c>
      <c r="C116" s="30"/>
      <c r="D116" s="28"/>
      <c r="E116" s="31"/>
      <c r="F116" s="15">
        <f>26.80733*1000</f>
        <v>26807.33</v>
      </c>
    </row>
    <row r="117" spans="1:9" s="3" customFormat="1" ht="15.75" x14ac:dyDescent="0.25">
      <c r="A117" s="19">
        <v>112</v>
      </c>
      <c r="B117" s="7" t="s">
        <v>18</v>
      </c>
      <c r="C117" s="30"/>
      <c r="D117" s="28"/>
      <c r="E117" s="31"/>
      <c r="F117" s="15">
        <f>541.13541*1000</f>
        <v>541135.41</v>
      </c>
    </row>
    <row r="118" spans="1:9" s="3" customFormat="1" ht="15.75" x14ac:dyDescent="0.25">
      <c r="A118" s="19">
        <v>113</v>
      </c>
      <c r="B118" s="7" t="s">
        <v>11</v>
      </c>
      <c r="C118" s="30"/>
      <c r="D118" s="28"/>
      <c r="E118" s="31"/>
      <c r="F118" s="15">
        <f>2769.930508*1000</f>
        <v>2769930.5079999999</v>
      </c>
    </row>
    <row r="119" spans="1:9" s="3" customFormat="1" ht="15.75" x14ac:dyDescent="0.25">
      <c r="A119" s="19">
        <v>114</v>
      </c>
      <c r="B119" s="7" t="s">
        <v>12</v>
      </c>
      <c r="C119" s="30"/>
      <c r="D119" s="28"/>
      <c r="E119" s="31"/>
      <c r="F119" s="15">
        <f>7387.493142*1000</f>
        <v>7387493.142</v>
      </c>
    </row>
    <row r="120" spans="1:9" s="3" customFormat="1" ht="15.75" x14ac:dyDescent="0.25">
      <c r="A120" s="19">
        <v>115</v>
      </c>
      <c r="B120" s="7" t="s">
        <v>16</v>
      </c>
      <c r="C120" s="30" t="s">
        <v>8</v>
      </c>
      <c r="D120" s="28"/>
      <c r="E120" s="31" t="s">
        <v>5</v>
      </c>
      <c r="F120" s="15">
        <f>47.513889*1000</f>
        <v>47513.888999999996</v>
      </c>
    </row>
    <row r="121" spans="1:9" s="3" customFormat="1" ht="15.75" x14ac:dyDescent="0.25">
      <c r="A121" s="19">
        <v>116</v>
      </c>
      <c r="B121" s="7" t="s">
        <v>17</v>
      </c>
      <c r="C121" s="30"/>
      <c r="D121" s="28"/>
      <c r="E121" s="31"/>
      <c r="F121" s="15">
        <f>42.735452*1000</f>
        <v>42735.452000000005</v>
      </c>
    </row>
    <row r="122" spans="1:9" s="3" customFormat="1" ht="15.75" x14ac:dyDescent="0.25">
      <c r="A122" s="19">
        <v>117</v>
      </c>
      <c r="B122" s="7" t="s">
        <v>18</v>
      </c>
      <c r="C122" s="30"/>
      <c r="D122" s="28"/>
      <c r="E122" s="31"/>
      <c r="F122" s="15">
        <f>541.13541*1000</f>
        <v>541135.41</v>
      </c>
    </row>
    <row r="123" spans="1:9" s="3" customFormat="1" ht="15.75" x14ac:dyDescent="0.25">
      <c r="A123" s="19">
        <v>118</v>
      </c>
      <c r="B123" s="7" t="s">
        <v>11</v>
      </c>
      <c r="C123" s="30"/>
      <c r="D123" s="28"/>
      <c r="E123" s="31"/>
      <c r="F123" s="15">
        <f>2769.930508*1000</f>
        <v>2769930.5079999999</v>
      </c>
    </row>
    <row r="124" spans="1:9" s="3" customFormat="1" ht="15.75" x14ac:dyDescent="0.25">
      <c r="A124" s="19">
        <v>119</v>
      </c>
      <c r="B124" s="7" t="s">
        <v>12</v>
      </c>
      <c r="C124" s="30"/>
      <c r="D124" s="28"/>
      <c r="E124" s="31"/>
      <c r="F124" s="15">
        <f>7387.493142*1000</f>
        <v>7387493.142</v>
      </c>
    </row>
    <row r="125" spans="1:9" s="3" customFormat="1" ht="15.75" x14ac:dyDescent="0.25">
      <c r="A125" s="19">
        <v>120</v>
      </c>
      <c r="B125" s="7" t="s">
        <v>16</v>
      </c>
      <c r="C125" s="30" t="s">
        <v>9</v>
      </c>
      <c r="D125" s="28"/>
      <c r="E125" s="31" t="s">
        <v>5</v>
      </c>
      <c r="F125" s="15">
        <f>47.513889*1000</f>
        <v>47513.888999999996</v>
      </c>
    </row>
    <row r="126" spans="1:9" s="3" customFormat="1" ht="15.75" x14ac:dyDescent="0.25">
      <c r="A126" s="19">
        <v>121</v>
      </c>
      <c r="B126" s="7" t="s">
        <v>17</v>
      </c>
      <c r="C126" s="30"/>
      <c r="D126" s="28"/>
      <c r="E126" s="31"/>
      <c r="F126" s="15">
        <f>42.735452*1000</f>
        <v>42735.452000000005</v>
      </c>
    </row>
    <row r="127" spans="1:9" s="3" customFormat="1" ht="15.75" x14ac:dyDescent="0.25">
      <c r="A127" s="19">
        <v>122</v>
      </c>
      <c r="B127" s="7" t="s">
        <v>18</v>
      </c>
      <c r="C127" s="30"/>
      <c r="D127" s="28"/>
      <c r="E127" s="31"/>
      <c r="F127" s="15">
        <f>541.13541*1000</f>
        <v>541135.41</v>
      </c>
    </row>
    <row r="128" spans="1:9" s="3" customFormat="1" ht="15.75" x14ac:dyDescent="0.25">
      <c r="A128" s="19">
        <v>123</v>
      </c>
      <c r="B128" s="7" t="s">
        <v>11</v>
      </c>
      <c r="C128" s="30"/>
      <c r="D128" s="28"/>
      <c r="E128" s="31"/>
      <c r="F128" s="15">
        <f>2769.930508*1000</f>
        <v>2769930.5079999999</v>
      </c>
    </row>
    <row r="129" spans="1:6" s="3" customFormat="1" ht="15.75" x14ac:dyDescent="0.25">
      <c r="A129" s="19">
        <v>124</v>
      </c>
      <c r="B129" s="7" t="s">
        <v>12</v>
      </c>
      <c r="C129" s="30"/>
      <c r="D129" s="28"/>
      <c r="E129" s="31"/>
      <c r="F129" s="15">
        <f>7387.493142*1000</f>
        <v>7387493.142</v>
      </c>
    </row>
    <row r="130" spans="1:6" s="3" customFormat="1" ht="15.75" x14ac:dyDescent="0.25">
      <c r="A130" s="19">
        <v>125</v>
      </c>
      <c r="B130" s="7" t="s">
        <v>16</v>
      </c>
      <c r="C130" s="30" t="s">
        <v>10</v>
      </c>
      <c r="D130" s="28"/>
      <c r="E130" s="31" t="s">
        <v>5</v>
      </c>
      <c r="F130" s="15">
        <f>47.513889*1000</f>
        <v>47513.888999999996</v>
      </c>
    </row>
    <row r="131" spans="1:6" s="3" customFormat="1" ht="15.75" x14ac:dyDescent="0.25">
      <c r="A131" s="19">
        <v>126</v>
      </c>
      <c r="B131" s="7" t="s">
        <v>17</v>
      </c>
      <c r="C131" s="30"/>
      <c r="D131" s="28"/>
      <c r="E131" s="31"/>
      <c r="F131" s="15">
        <f>42.735452*1000</f>
        <v>42735.452000000005</v>
      </c>
    </row>
    <row r="132" spans="1:6" s="3" customFormat="1" ht="15.75" x14ac:dyDescent="0.25">
      <c r="A132" s="19">
        <v>127</v>
      </c>
      <c r="B132" s="7" t="s">
        <v>18</v>
      </c>
      <c r="C132" s="30"/>
      <c r="D132" s="28"/>
      <c r="E132" s="31"/>
      <c r="F132" s="15">
        <f>541.13541*1000</f>
        <v>541135.41</v>
      </c>
    </row>
    <row r="133" spans="1:6" s="3" customFormat="1" ht="15.75" x14ac:dyDescent="0.25">
      <c r="A133" s="19">
        <v>128</v>
      </c>
      <c r="B133" s="7" t="s">
        <v>11</v>
      </c>
      <c r="C133" s="30"/>
      <c r="D133" s="28"/>
      <c r="E133" s="31"/>
      <c r="F133" s="15">
        <f>2769.930508*1000</f>
        <v>2769930.5079999999</v>
      </c>
    </row>
    <row r="134" spans="1:6" s="3" customFormat="1" ht="15.75" x14ac:dyDescent="0.25">
      <c r="A134" s="19">
        <v>129</v>
      </c>
      <c r="B134" s="7" t="s">
        <v>12</v>
      </c>
      <c r="C134" s="30"/>
      <c r="D134" s="28"/>
      <c r="E134" s="31"/>
      <c r="F134" s="15">
        <f>7387.493142*1000</f>
        <v>7387493.142</v>
      </c>
    </row>
  </sheetData>
  <autoFilter ref="A5:F134"/>
  <mergeCells count="100">
    <mergeCell ref="B55:B56"/>
    <mergeCell ref="C99:C100"/>
    <mergeCell ref="B99:B101"/>
    <mergeCell ref="B102:B103"/>
    <mergeCell ref="C103:C104"/>
    <mergeCell ref="B73:B74"/>
    <mergeCell ref="C73:C76"/>
    <mergeCell ref="B97:B98"/>
    <mergeCell ref="C97:C98"/>
    <mergeCell ref="B94:B96"/>
    <mergeCell ref="B91:B92"/>
    <mergeCell ref="B89:B90"/>
    <mergeCell ref="C77:C82"/>
    <mergeCell ref="B16:B17"/>
    <mergeCell ref="B57:B59"/>
    <mergeCell ref="B60:B62"/>
    <mergeCell ref="B84:B87"/>
    <mergeCell ref="B77:B79"/>
    <mergeCell ref="B80:B82"/>
    <mergeCell ref="B75:B76"/>
    <mergeCell ref="B18:B20"/>
    <mergeCell ref="B39:B40"/>
    <mergeCell ref="B46:B48"/>
    <mergeCell ref="B49:B51"/>
    <mergeCell ref="B41:B42"/>
    <mergeCell ref="B43:B44"/>
    <mergeCell ref="B53:B54"/>
    <mergeCell ref="B65:B69"/>
    <mergeCell ref="B70:B71"/>
    <mergeCell ref="B25:B28"/>
    <mergeCell ref="E29:E34"/>
    <mergeCell ref="B29:B34"/>
    <mergeCell ref="E22:E24"/>
    <mergeCell ref="E35:E38"/>
    <mergeCell ref="C35:C38"/>
    <mergeCell ref="B35:B38"/>
    <mergeCell ref="C22:C24"/>
    <mergeCell ref="B22:B24"/>
    <mergeCell ref="B12:B13"/>
    <mergeCell ref="B6:B9"/>
    <mergeCell ref="B10:B11"/>
    <mergeCell ref="B14:B15"/>
    <mergeCell ref="C14:C15"/>
    <mergeCell ref="E6:E9"/>
    <mergeCell ref="E10:E11"/>
    <mergeCell ref="E12:E13"/>
    <mergeCell ref="E14:E15"/>
    <mergeCell ref="C12:C13"/>
    <mergeCell ref="C6:C9"/>
    <mergeCell ref="C10:C11"/>
    <mergeCell ref="E18:E20"/>
    <mergeCell ref="C16:C20"/>
    <mergeCell ref="E16:E17"/>
    <mergeCell ref="C64:C65"/>
    <mergeCell ref="E25:E28"/>
    <mergeCell ref="C29:C31"/>
    <mergeCell ref="E57:E63"/>
    <mergeCell ref="E65:E71"/>
    <mergeCell ref="E39:E40"/>
    <mergeCell ref="E41:E42"/>
    <mergeCell ref="E43:E44"/>
    <mergeCell ref="C39:C40"/>
    <mergeCell ref="C46:C48"/>
    <mergeCell ref="C41:C42"/>
    <mergeCell ref="C43:C44"/>
    <mergeCell ref="C49:C52"/>
    <mergeCell ref="E91:E92"/>
    <mergeCell ref="E89:E90"/>
    <mergeCell ref="C25:C27"/>
    <mergeCell ref="C33:C34"/>
    <mergeCell ref="E46:E48"/>
    <mergeCell ref="E49:E52"/>
    <mergeCell ref="E83:E87"/>
    <mergeCell ref="C83:C84"/>
    <mergeCell ref="C57:C63"/>
    <mergeCell ref="E77:E82"/>
    <mergeCell ref="E73:E76"/>
    <mergeCell ref="C53:C56"/>
    <mergeCell ref="E53:E56"/>
    <mergeCell ref="E125:E129"/>
    <mergeCell ref="C105:C109"/>
    <mergeCell ref="E105:E109"/>
    <mergeCell ref="C110:C114"/>
    <mergeCell ref="E110:E114"/>
    <mergeCell ref="D130:D134"/>
    <mergeCell ref="D88:D93"/>
    <mergeCell ref="A1:F1"/>
    <mergeCell ref="D105:D109"/>
    <mergeCell ref="D110:D114"/>
    <mergeCell ref="D115:D119"/>
    <mergeCell ref="D120:D124"/>
    <mergeCell ref="D125:D129"/>
    <mergeCell ref="C94:C96"/>
    <mergeCell ref="C130:C134"/>
    <mergeCell ref="E130:E134"/>
    <mergeCell ref="C115:C119"/>
    <mergeCell ref="E115:E119"/>
    <mergeCell ref="C120:C124"/>
    <mergeCell ref="E120:E124"/>
    <mergeCell ref="C125:C129"/>
  </mergeCell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view="pageBreakPreview" zoomScale="60" zoomScaleNormal="80" workbookViewId="0">
      <selection activeCell="C6" sqref="C6"/>
    </sheetView>
  </sheetViews>
  <sheetFormatPr defaultRowHeight="15" x14ac:dyDescent="0.25"/>
  <cols>
    <col min="2" max="2" width="118.7109375" customWidth="1"/>
    <col min="3" max="3" width="15.7109375" customWidth="1"/>
    <col min="4" max="4" width="14.85546875" customWidth="1"/>
  </cols>
  <sheetData>
    <row r="1" spans="1:6" ht="84.75" customHeight="1" x14ac:dyDescent="0.25">
      <c r="B1" s="35" t="s">
        <v>165</v>
      </c>
      <c r="C1" s="35"/>
      <c r="D1" s="35"/>
      <c r="E1" s="22"/>
      <c r="F1" s="22"/>
    </row>
    <row r="2" spans="1:6" ht="18.75" x14ac:dyDescent="0.25">
      <c r="B2" s="16"/>
      <c r="C2" s="16"/>
      <c r="D2" s="16"/>
      <c r="E2" s="16"/>
      <c r="F2" s="16"/>
    </row>
    <row r="3" spans="1:6" ht="74.25" customHeight="1" x14ac:dyDescent="0.25">
      <c r="A3" s="36" t="s">
        <v>162</v>
      </c>
      <c r="B3" s="33" t="s">
        <v>161</v>
      </c>
      <c r="C3" s="34" t="s">
        <v>166</v>
      </c>
      <c r="D3" s="34"/>
    </row>
    <row r="4" spans="1:6" ht="15.75" customHeight="1" x14ac:dyDescent="0.25">
      <c r="A4" s="36"/>
      <c r="B4" s="33"/>
      <c r="C4" s="24" t="s">
        <v>159</v>
      </c>
      <c r="D4" s="24" t="s">
        <v>160</v>
      </c>
    </row>
    <row r="5" spans="1:6" ht="197.25" customHeight="1" x14ac:dyDescent="0.25">
      <c r="A5" s="25">
        <v>1</v>
      </c>
      <c r="B5" s="21" t="s">
        <v>164</v>
      </c>
      <c r="C5" s="23">
        <f>'[1]Лист1 (2)'!$H$9</f>
        <v>22951.408093823287</v>
      </c>
      <c r="D5" s="23">
        <f>C5*1.2</f>
        <v>27541.689712587944</v>
      </c>
    </row>
    <row r="6" spans="1:6" ht="165" customHeight="1" x14ac:dyDescent="0.25">
      <c r="A6" s="25">
        <v>2</v>
      </c>
      <c r="B6" s="21" t="s">
        <v>163</v>
      </c>
      <c r="C6" s="23">
        <f>C5</f>
        <v>22951.408093823287</v>
      </c>
      <c r="D6" s="23">
        <f>D5</f>
        <v>27541.689712587944</v>
      </c>
    </row>
    <row r="7" spans="1:6" ht="37.5" customHeight="1" x14ac:dyDescent="0.25"/>
    <row r="10" spans="1:6" ht="18.75" x14ac:dyDescent="0.3">
      <c r="A10" s="26" t="str">
        <f>'[2]Прил 2 2021'!$B$18</f>
        <v>Заместитель директора по экономике и финансам</v>
      </c>
      <c r="B10" s="26"/>
      <c r="D10" s="27" t="str">
        <f>'[2]Прил 2 2021'!$G$18</f>
        <v>Т.В. Шевченко</v>
      </c>
    </row>
  </sheetData>
  <mergeCells count="4">
    <mergeCell ref="B3:B4"/>
    <mergeCell ref="C3:D3"/>
    <mergeCell ref="B1:D1"/>
    <mergeCell ref="A3:A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Стандартизированные ставки</vt:lpstr>
      <vt:lpstr>Льготная ставка за ТП</vt:lpstr>
      <vt:lpstr>'Стандартизированные ставки'!Область_печати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2025-08-20T07:07:48Z</dcterms:modified>
</cp:coreProperties>
</file>